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HG\Dropbox (TIL)\DPS Management\District Heating\"/>
    </mc:Choice>
  </mc:AlternateContent>
  <bookViews>
    <workbookView xWindow="0" yWindow="0" windowWidth="18192" windowHeight="8436"/>
  </bookViews>
  <sheets>
    <sheet name="Sheet1" sheetId="1" r:id="rId1"/>
    <sheet name="Sheet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T11" i="1" l="1"/>
  <c r="Y11" i="1"/>
  <c r="Z11" i="1"/>
  <c r="AB11" i="1"/>
  <c r="X12" i="1"/>
  <c r="T13" i="1"/>
  <c r="U13" i="1"/>
  <c r="V13" i="1"/>
  <c r="X13" i="1"/>
  <c r="Z13" i="1"/>
  <c r="AB13" i="1"/>
  <c r="AC13" i="1"/>
  <c r="T14" i="1"/>
  <c r="V14" i="1"/>
  <c r="X14" i="1"/>
  <c r="Z14" i="1"/>
  <c r="AA14" i="1"/>
  <c r="AB14" i="1"/>
  <c r="Z15" i="1"/>
  <c r="X16" i="1"/>
  <c r="V17" i="1"/>
  <c r="T18" i="1"/>
  <c r="V18" i="1"/>
  <c r="X18" i="1"/>
  <c r="Z18" i="1"/>
  <c r="AA18" i="1"/>
  <c r="AB18" i="1"/>
  <c r="T19" i="1"/>
  <c r="Y19" i="1"/>
  <c r="Z19" i="1"/>
  <c r="AB19" i="1"/>
  <c r="F20" i="1"/>
  <c r="C18" i="1"/>
  <c r="I10" i="1"/>
  <c r="J10" i="1"/>
  <c r="U10" i="1" s="1"/>
  <c r="I11" i="1"/>
  <c r="J11" i="1" s="1"/>
  <c r="AA11" i="1" s="1"/>
  <c r="I12" i="1"/>
  <c r="J12" i="1" s="1"/>
  <c r="Y12" i="1" s="1"/>
  <c r="I13" i="1"/>
  <c r="J13" i="1" s="1"/>
  <c r="W13" i="1" s="1"/>
  <c r="I17" i="1"/>
  <c r="J17" i="1" s="1"/>
  <c r="W17" i="1" s="1"/>
  <c r="I18" i="1"/>
  <c r="J18" i="1" s="1"/>
  <c r="U18" i="1" s="1"/>
  <c r="I19" i="1"/>
  <c r="J19" i="1" s="1"/>
  <c r="AA19" i="1" s="1"/>
  <c r="I16" i="1"/>
  <c r="J16" i="1" s="1"/>
  <c r="Y16" i="1" s="1"/>
  <c r="C21" i="1"/>
  <c r="M11" i="1" s="1"/>
  <c r="C20" i="1"/>
  <c r="C15" i="1"/>
  <c r="C16" i="1" s="1"/>
  <c r="C14" i="1"/>
  <c r="I15" i="1"/>
  <c r="J15" i="1" s="1"/>
  <c r="U15" i="1" s="1"/>
  <c r="I14" i="1"/>
  <c r="J14" i="1" s="1"/>
  <c r="U14" i="1" s="1"/>
  <c r="T10" i="1" l="1"/>
  <c r="AC17" i="1"/>
  <c r="U17" i="1"/>
  <c r="W16" i="1"/>
  <c r="Y15" i="1"/>
  <c r="W12" i="1"/>
  <c r="AA10" i="1"/>
  <c r="X19" i="1"/>
  <c r="AB17" i="1"/>
  <c r="T17" i="1"/>
  <c r="V16" i="1"/>
  <c r="X15" i="1"/>
  <c r="V12" i="1"/>
  <c r="X11" i="1"/>
  <c r="Z10" i="1"/>
  <c r="M18" i="1"/>
  <c r="P18" i="1" s="1"/>
  <c r="W19" i="1"/>
  <c r="Y18" i="1"/>
  <c r="AA17" i="1"/>
  <c r="AC16" i="1"/>
  <c r="U16" i="1"/>
  <c r="W15" i="1"/>
  <c r="Y14" i="1"/>
  <c r="AA13" i="1"/>
  <c r="AC12" i="1"/>
  <c r="U12" i="1"/>
  <c r="W11" i="1"/>
  <c r="Y10" i="1"/>
  <c r="V19" i="1"/>
  <c r="Z17" i="1"/>
  <c r="AB16" i="1"/>
  <c r="T16" i="1"/>
  <c r="V15" i="1"/>
  <c r="AB12" i="1"/>
  <c r="T12" i="1"/>
  <c r="V11" i="1"/>
  <c r="X10" i="1"/>
  <c r="AC19" i="1"/>
  <c r="U19" i="1"/>
  <c r="W18" i="1"/>
  <c r="Y17" i="1"/>
  <c r="AA16" i="1"/>
  <c r="AC15" i="1"/>
  <c r="W14" i="1"/>
  <c r="Y13" i="1"/>
  <c r="AA12" i="1"/>
  <c r="AC11" i="1"/>
  <c r="U11" i="1"/>
  <c r="W10" i="1"/>
  <c r="AB10" i="1"/>
  <c r="M15" i="1"/>
  <c r="P15" i="1" s="1"/>
  <c r="X17" i="1"/>
  <c r="Z16" i="1"/>
  <c r="AB15" i="1"/>
  <c r="T15" i="1"/>
  <c r="Z12" i="1"/>
  <c r="V10" i="1"/>
  <c r="AC18" i="1"/>
  <c r="AA15" i="1"/>
  <c r="AC14" i="1"/>
  <c r="AC10" i="1"/>
  <c r="M17" i="1"/>
  <c r="P17" i="1" s="1"/>
  <c r="M16" i="1"/>
  <c r="M13" i="1"/>
  <c r="P13" i="1" s="1"/>
  <c r="M12" i="1"/>
  <c r="M14" i="1"/>
  <c r="M19" i="1"/>
  <c r="L15" i="1"/>
  <c r="O15" i="1" s="1"/>
  <c r="L11" i="1"/>
  <c r="O11" i="1" s="1"/>
  <c r="M10" i="1"/>
  <c r="P10" i="1" s="1"/>
  <c r="L10" i="1"/>
  <c r="O10" i="1" s="1"/>
  <c r="P11" i="1"/>
  <c r="L14" i="1"/>
  <c r="O14" i="1" s="1"/>
  <c r="L12" i="1"/>
  <c r="O12" i="1" s="1"/>
  <c r="P12" i="1"/>
  <c r="L13" i="1"/>
  <c r="O13" i="1" s="1"/>
  <c r="L19" i="1"/>
  <c r="O19" i="1" s="1"/>
  <c r="P14" i="1"/>
  <c r="L17" i="1"/>
  <c r="O17" i="1" s="1"/>
  <c r="L18" i="1"/>
  <c r="O18" i="1" s="1"/>
  <c r="P19" i="1"/>
  <c r="L16" i="1"/>
  <c r="O16" i="1" s="1"/>
  <c r="P16" i="1"/>
  <c r="Q10" i="1" l="1"/>
  <c r="F10" i="1" s="1"/>
  <c r="Q15" i="1"/>
  <c r="F15" i="1" s="1"/>
  <c r="Q17" i="1"/>
  <c r="F17" i="1" s="1"/>
  <c r="Q11" i="1"/>
  <c r="F11" i="1" s="1"/>
  <c r="Q14" i="1"/>
  <c r="F14" i="1" s="1"/>
  <c r="Q13" i="1"/>
  <c r="F13" i="1" s="1"/>
  <c r="Q18" i="1"/>
  <c r="F18" i="1" s="1"/>
  <c r="Q12" i="1"/>
  <c r="F12" i="1" s="1"/>
  <c r="Q16" i="1"/>
  <c r="F16" i="1" s="1"/>
  <c r="Q19" i="1"/>
  <c r="F19" i="1" s="1"/>
</calcChain>
</file>

<file path=xl/sharedStrings.xml><?xml version="1.0" encoding="utf-8"?>
<sst xmlns="http://schemas.openxmlformats.org/spreadsheetml/2006/main" count="40" uniqueCount="34">
  <si>
    <t>Diameter</t>
  </si>
  <si>
    <t>Wall</t>
  </si>
  <si>
    <t>Bore</t>
  </si>
  <si>
    <t>Area</t>
  </si>
  <si>
    <t>Minutes per day at peak DHW load</t>
  </si>
  <si>
    <t>kw</t>
  </si>
  <si>
    <t>Litres of water per day @55C</t>
  </si>
  <si>
    <t>litres</t>
  </si>
  <si>
    <t>Litres of water per day @40C</t>
  </si>
  <si>
    <t>minutes</t>
  </si>
  <si>
    <t>Percentage of time at peak</t>
  </si>
  <si>
    <t>Peak DHW Primary Flow</t>
  </si>
  <si>
    <t>C</t>
  </si>
  <si>
    <t>Primary Flow Temperature</t>
  </si>
  <si>
    <t>Return Temperature, DHW</t>
  </si>
  <si>
    <t>Peak Heating Output</t>
  </si>
  <si>
    <t>kW</t>
  </si>
  <si>
    <t>Return Temperature, CH</t>
  </si>
  <si>
    <t>ltr/s</t>
  </si>
  <si>
    <t>Peak CH Primary Flow</t>
  </si>
  <si>
    <t>Peak Velocity</t>
  </si>
  <si>
    <t>DHW</t>
  </si>
  <si>
    <t>CH</t>
  </si>
  <si>
    <t>Minutes Velocity Squared</t>
  </si>
  <si>
    <t>Total</t>
  </si>
  <si>
    <t>This sheet is for estimating the effects of erosion within pipework based on an acceptable continuous pipe velocity of 1m/s.</t>
  </si>
  <si>
    <t>Rates of erosion are based on the kinetic energy of water and particles.</t>
  </si>
  <si>
    <t>Effects are weighted by time.</t>
  </si>
  <si>
    <t>Peak DHW Output</t>
  </si>
  <si>
    <t>Acceptable constant velocity</t>
  </si>
  <si>
    <t>m/s</t>
  </si>
  <si>
    <t>minutes velocity squared / day</t>
  </si>
  <si>
    <t>OK</t>
  </si>
  <si>
    <t>Peak DHW Power (kW)  at velocity (m/s)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</si>
</sst>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5" formatCode="0.0"/>
    <numFmt numFmtId="168" formatCode="0.0%"/>
  </numFmts>
  <fonts count="5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0"/>
      <name val="Arial"/>
      <family val="2"/>
    </font>
    <font>
      <sz val="8"/>
      <color theme="0"/>
      <name val="Arial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165" fontId="0" fillId="0" borderId="0" xfId="0" applyNumberFormat="1" applyAlignment="1">
      <alignment horizontal="center"/>
    </xf>
    <xf numFmtId="0" fontId="0" fillId="3" borderId="0" xfId="0" applyFill="1"/>
    <xf numFmtId="0" fontId="0" fillId="4" borderId="0" xfId="0" applyFill="1"/>
    <xf numFmtId="165" fontId="0" fillId="4" borderId="0" xfId="0" applyNumberFormat="1" applyFill="1"/>
    <xf numFmtId="168" fontId="0" fillId="4" borderId="0" xfId="1" applyNumberFormat="1" applyFont="1" applyFill="1"/>
    <xf numFmtId="0" fontId="0" fillId="2" borderId="0" xfId="0" applyFill="1" applyBorder="1"/>
    <xf numFmtId="2" fontId="0" fillId="3" borderId="0" xfId="0" applyNumberFormat="1" applyFill="1" applyAlignment="1">
      <alignment horizontal="center" vertical="center"/>
    </xf>
    <xf numFmtId="165" fontId="0" fillId="3" borderId="0" xfId="0" applyNumberFormat="1" applyFill="1" applyAlignment="1">
      <alignment horizontal="center" vertical="center"/>
    </xf>
    <xf numFmtId="0" fontId="0" fillId="0" borderId="1" xfId="0" applyFont="1" applyBorder="1" applyAlignment="1">
      <alignment horizontal="center"/>
    </xf>
    <xf numFmtId="165" fontId="0" fillId="5" borderId="0" xfId="0" applyNumberFormat="1" applyFill="1" applyAlignment="1">
      <alignment horizontal="center"/>
    </xf>
    <xf numFmtId="0" fontId="0" fillId="5" borderId="0" xfId="0" applyFill="1"/>
    <xf numFmtId="0" fontId="2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2">
    <cellStyle name="Normal" xfId="0" builtinId="0"/>
    <cellStyle name="Percent" xfId="1" builtinId="5"/>
  </cellStyles>
  <dxfs count="23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F21"/>
  <sheetViews>
    <sheetView tabSelected="1" workbookViewId="0">
      <selection activeCell="N25" sqref="N25"/>
    </sheetView>
  </sheetViews>
  <sheetFormatPr defaultRowHeight="13.2" x14ac:dyDescent="0.25"/>
  <cols>
    <col min="1" max="1" width="2.5546875" customWidth="1"/>
    <col min="2" max="2" width="29.33203125" customWidth="1"/>
    <col min="3" max="3" width="7.33203125" customWidth="1"/>
    <col min="5" max="5" width="3.77734375" customWidth="1"/>
    <col min="6" max="6" width="3.21875" style="1" customWidth="1"/>
    <col min="7" max="7" width="8.21875" style="1" customWidth="1"/>
    <col min="8" max="8" width="5.44140625" style="1" customWidth="1"/>
    <col min="9" max="9" width="6.5546875" style="1" customWidth="1"/>
    <col min="10" max="10" width="8.21875" style="1" customWidth="1"/>
    <col min="11" max="11" width="2.5546875" style="4" customWidth="1"/>
    <col min="12" max="13" width="8.77734375" style="4" customWidth="1"/>
    <col min="14" max="14" width="2.88671875" style="4" customWidth="1"/>
    <col min="15" max="17" width="8.6640625" style="4" customWidth="1"/>
    <col min="18" max="18" width="2.77734375" customWidth="1"/>
    <col min="19" max="19" width="2.6640625" style="1" customWidth="1"/>
    <col min="20" max="20" width="6.5546875" style="1" customWidth="1"/>
    <col min="21" max="21" width="6.5546875" bestFit="1" customWidth="1"/>
    <col min="22" max="24" width="6.5546875" style="1" bestFit="1" customWidth="1"/>
    <col min="25" max="25" width="6.5546875" bestFit="1" customWidth="1"/>
    <col min="26" max="26" width="7.5546875" bestFit="1" customWidth="1"/>
  </cols>
  <sheetData>
    <row r="1" spans="2:32" x14ac:dyDescent="0.25">
      <c r="G1"/>
      <c r="H1"/>
      <c r="I1"/>
      <c r="J1"/>
      <c r="K1"/>
      <c r="L1"/>
      <c r="M1"/>
      <c r="N1"/>
      <c r="O1"/>
      <c r="P1"/>
      <c r="Q1"/>
    </row>
    <row r="2" spans="2:32" x14ac:dyDescent="0.25">
      <c r="B2" t="s">
        <v>25</v>
      </c>
      <c r="G2"/>
      <c r="H2"/>
      <c r="I2"/>
      <c r="J2"/>
      <c r="K2"/>
      <c r="L2"/>
      <c r="M2"/>
      <c r="N2"/>
      <c r="O2"/>
      <c r="P2"/>
      <c r="Q2"/>
    </row>
    <row r="3" spans="2:32" x14ac:dyDescent="0.25">
      <c r="B3" t="s">
        <v>26</v>
      </c>
    </row>
    <row r="4" spans="2:32" x14ac:dyDescent="0.25">
      <c r="B4" t="s">
        <v>27</v>
      </c>
    </row>
    <row r="6" spans="2:32" x14ac:dyDescent="0.25">
      <c r="B6" t="s">
        <v>28</v>
      </c>
      <c r="C6" s="11">
        <v>50</v>
      </c>
      <c r="D6" t="s">
        <v>5</v>
      </c>
      <c r="L6" s="1"/>
      <c r="M6" s="1"/>
      <c r="N6"/>
      <c r="O6" s="1"/>
      <c r="P6" s="1"/>
      <c r="Q6" s="1"/>
      <c r="Z6" s="4"/>
      <c r="AA6" s="4"/>
      <c r="AB6" s="4"/>
      <c r="AC6" s="4"/>
      <c r="AD6" s="4"/>
      <c r="AE6" s="4"/>
      <c r="AF6" s="4"/>
    </row>
    <row r="7" spans="2:32" x14ac:dyDescent="0.25">
      <c r="B7" t="s">
        <v>6</v>
      </c>
      <c r="C7" s="11">
        <v>240</v>
      </c>
      <c r="D7" t="s">
        <v>7</v>
      </c>
      <c r="L7" s="2" t="s">
        <v>20</v>
      </c>
      <c r="M7" s="2"/>
      <c r="N7"/>
      <c r="O7" s="14" t="s">
        <v>23</v>
      </c>
      <c r="P7" s="14"/>
      <c r="Q7" s="14"/>
      <c r="T7" s="3" t="s">
        <v>33</v>
      </c>
      <c r="U7" s="3"/>
      <c r="V7" s="3"/>
      <c r="W7" s="3"/>
      <c r="X7" s="3"/>
      <c r="Y7" s="3"/>
      <c r="Z7" s="3"/>
      <c r="AA7" s="3"/>
      <c r="AB7" s="3"/>
      <c r="AC7" s="3"/>
    </row>
    <row r="8" spans="2:32" x14ac:dyDescent="0.25">
      <c r="B8" t="s">
        <v>15</v>
      </c>
      <c r="C8" s="11">
        <v>5</v>
      </c>
      <c r="D8" t="s">
        <v>16</v>
      </c>
      <c r="F8" s="20" t="s">
        <v>32</v>
      </c>
      <c r="G8" s="1" t="s">
        <v>0</v>
      </c>
      <c r="H8" s="1" t="s">
        <v>1</v>
      </c>
      <c r="I8" s="1" t="s">
        <v>2</v>
      </c>
      <c r="J8" s="1" t="s">
        <v>3</v>
      </c>
      <c r="L8" s="1" t="s">
        <v>21</v>
      </c>
      <c r="M8" s="1" t="s">
        <v>22</v>
      </c>
      <c r="N8"/>
      <c r="O8" s="1" t="s">
        <v>21</v>
      </c>
      <c r="P8" s="1" t="s">
        <v>22</v>
      </c>
      <c r="Q8" s="1" t="s">
        <v>24</v>
      </c>
      <c r="T8" s="4">
        <v>0.5</v>
      </c>
      <c r="U8" s="4">
        <v>0.75</v>
      </c>
      <c r="V8" s="4">
        <v>1</v>
      </c>
      <c r="W8" s="4">
        <v>1.5</v>
      </c>
      <c r="X8" s="4">
        <v>2</v>
      </c>
      <c r="Y8" s="4">
        <v>2.5</v>
      </c>
      <c r="Z8" s="4">
        <v>3</v>
      </c>
      <c r="AA8" s="4">
        <v>4</v>
      </c>
      <c r="AB8" s="4">
        <v>6</v>
      </c>
      <c r="AC8" s="4">
        <v>8</v>
      </c>
    </row>
    <row r="9" spans="2:32" x14ac:dyDescent="0.25">
      <c r="B9" t="s">
        <v>13</v>
      </c>
      <c r="C9" s="11">
        <v>70</v>
      </c>
      <c r="D9" t="s">
        <v>12</v>
      </c>
      <c r="L9" s="1"/>
      <c r="M9" s="1"/>
      <c r="N9"/>
      <c r="O9" s="1"/>
      <c r="P9" s="1"/>
      <c r="Q9" s="1"/>
    </row>
    <row r="10" spans="2:32" x14ac:dyDescent="0.25">
      <c r="B10" t="s">
        <v>14</v>
      </c>
      <c r="C10" s="11">
        <v>25</v>
      </c>
      <c r="D10" t="s">
        <v>12</v>
      </c>
      <c r="F10" s="17">
        <f>IF(L10&gt;0.75,1,0) * IF(M10&lt;1,1,0) * IF(Q10&lt;$C$18,1,0)</f>
        <v>0</v>
      </c>
      <c r="G10" s="1">
        <v>6</v>
      </c>
      <c r="H10" s="1">
        <v>0.7</v>
      </c>
      <c r="I10" s="1">
        <f>G10-(2*H10)</f>
        <v>4.5999999999999996</v>
      </c>
      <c r="J10" s="6">
        <f>(I10/2)*(I10/2)*3.14159</f>
        <v>16.619011099999998</v>
      </c>
      <c r="L10" s="12">
        <f>1000*$C$20/$J10</f>
        <v>15.918532273575808</v>
      </c>
      <c r="M10" s="12">
        <f>1000*$C$21/$J10</f>
        <v>2.3877798410363713</v>
      </c>
      <c r="N10"/>
      <c r="O10" s="13">
        <f>L10*L10*$C$16*1440</f>
        <v>3831.4030065425031</v>
      </c>
      <c r="P10" s="13">
        <f t="shared" ref="P10:P11" si="0">M10*M10*1440</f>
        <v>8210.1492997339374</v>
      </c>
      <c r="Q10" s="15">
        <f t="shared" ref="Q10:Q11" si="1">O10+P10</f>
        <v>12041.552306276441</v>
      </c>
      <c r="T10" s="5">
        <f>4200*($C$9-$C$10)*T$8*$J10/1000000</f>
        <v>1.5704965489499998</v>
      </c>
      <c r="U10" s="5">
        <f>4200*($C$9-$C$10)*U$8*$J10/1000000</f>
        <v>2.3557448234249998</v>
      </c>
      <c r="V10" s="5">
        <f>4200*($C$9-$C$10)*V$8*$J10/1000000</f>
        <v>3.1409930978999996</v>
      </c>
      <c r="W10" s="5">
        <f>4200*($C$9-$C$10)*W$8*$J10/1000000</f>
        <v>4.7114896468499996</v>
      </c>
      <c r="X10" s="5">
        <f>4200*($C$9-$C$10)*X$8*$J10/1000000</f>
        <v>6.2819861957999992</v>
      </c>
      <c r="Y10" s="5">
        <f>4200*($C$9-$C$10)*Y$8*$J10/1000000</f>
        <v>7.8524827447499987</v>
      </c>
      <c r="Z10" s="5">
        <f>4200*($C$9-$C$10)*Z$8*$J10/1000000</f>
        <v>9.4229792936999992</v>
      </c>
      <c r="AA10" s="5">
        <f>4200*($C$9-$C$10)*AA$8*$J10/1000000</f>
        <v>12.563972391599998</v>
      </c>
      <c r="AB10" s="5">
        <f>4200*($C$9-$C$10)*AB$8*$J10/1000000</f>
        <v>18.845958587399998</v>
      </c>
      <c r="AC10" s="5">
        <f>4200*($C$9-$C$10)*AC$8*$J10/1000000</f>
        <v>25.127944783199997</v>
      </c>
    </row>
    <row r="11" spans="2:32" x14ac:dyDescent="0.25">
      <c r="B11" t="s">
        <v>17</v>
      </c>
      <c r="C11" s="11">
        <v>40</v>
      </c>
      <c r="D11" t="s">
        <v>12</v>
      </c>
      <c r="F11" s="17">
        <f>IF(L11&gt;0.75,1,0) * IF(M11&lt;1,1,0) * IF(Q11&lt;$C$18,1,0)</f>
        <v>0</v>
      </c>
      <c r="G11" s="1">
        <v>8</v>
      </c>
      <c r="H11" s="1">
        <v>0.7</v>
      </c>
      <c r="I11" s="1">
        <f>G11-(2*H11)</f>
        <v>6.6</v>
      </c>
      <c r="J11" s="6">
        <f>(I11/2)*(I11/2)*3.14159</f>
        <v>34.211915099999992</v>
      </c>
      <c r="L11" s="12">
        <f>1000*$C$20/$J11</f>
        <v>7.7326938225175423</v>
      </c>
      <c r="M11" s="12">
        <f>1000*$C$21/$J11</f>
        <v>1.1599040733776314</v>
      </c>
      <c r="N11"/>
      <c r="O11" s="13">
        <f>L11*L11*$C$16*1440</f>
        <v>904.0936527423504</v>
      </c>
      <c r="P11" s="13">
        <f t="shared" si="0"/>
        <v>1937.3435415907511</v>
      </c>
      <c r="Q11" s="15">
        <f t="shared" si="1"/>
        <v>2841.4371943331016</v>
      </c>
      <c r="T11" s="5">
        <f>4200*($C$9-$C$10)*T$8*$J11/1000000</f>
        <v>3.2330259769499992</v>
      </c>
      <c r="U11" s="5">
        <f>4200*($C$9-$C$10)*U$8*$J11/1000000</f>
        <v>4.8495389654249985</v>
      </c>
      <c r="V11" s="5">
        <f>4200*($C$9-$C$10)*V$8*$J11/1000000</f>
        <v>6.4660519538999983</v>
      </c>
      <c r="W11" s="5">
        <f>4200*($C$9-$C$10)*W$8*$J11/1000000</f>
        <v>9.699077930849997</v>
      </c>
      <c r="X11" s="5">
        <f>4200*($C$9-$C$10)*X$8*$J11/1000000</f>
        <v>12.932103907799997</v>
      </c>
      <c r="Y11" s="5">
        <f>4200*($C$9-$C$10)*Y$8*$J11/1000000</f>
        <v>16.165129884749994</v>
      </c>
      <c r="Z11" s="5">
        <f>4200*($C$9-$C$10)*Z$8*$J11/1000000</f>
        <v>19.398155861699994</v>
      </c>
      <c r="AA11" s="5">
        <f>4200*($C$9-$C$10)*AA$8*$J11/1000000</f>
        <v>25.864207815599993</v>
      </c>
      <c r="AB11" s="5">
        <f>4200*($C$9-$C$10)*AB$8*$J11/1000000</f>
        <v>38.796311723399988</v>
      </c>
      <c r="AC11" s="5">
        <f>4200*($C$9-$C$10)*AC$8*$J11/1000000</f>
        <v>51.728415631199987</v>
      </c>
    </row>
    <row r="12" spans="2:32" x14ac:dyDescent="0.25">
      <c r="B12" t="s">
        <v>29</v>
      </c>
      <c r="C12" s="11">
        <v>1</v>
      </c>
      <c r="D12" t="s">
        <v>30</v>
      </c>
      <c r="F12" s="18">
        <f>IF(L12&gt;0.75,1,0) * IF(M12&lt;1,1,0) * IF(Q12&lt;$C$18,1,0)</f>
        <v>1</v>
      </c>
      <c r="G12" s="1">
        <v>10</v>
      </c>
      <c r="H12" s="1">
        <v>0.7</v>
      </c>
      <c r="I12" s="1">
        <f>G12-(2*H12)</f>
        <v>8.6</v>
      </c>
      <c r="J12" s="6">
        <f>(I12/2)*(I12/2)*3.14159</f>
        <v>58.08799909999999</v>
      </c>
      <c r="L12" s="12">
        <f>1000*$C$20/$J12</f>
        <v>4.554301553662305</v>
      </c>
      <c r="M12" s="12">
        <f>1000*$C$21/$J12</f>
        <v>0.68314523304934582</v>
      </c>
      <c r="N12"/>
      <c r="O12" s="13">
        <f>L12*L12*$C$16*1440</f>
        <v>313.61393914236618</v>
      </c>
      <c r="P12" s="13">
        <f>M12*M12*1440</f>
        <v>672.02986959078487</v>
      </c>
      <c r="Q12" s="15">
        <f>O12+P12</f>
        <v>985.64380873315099</v>
      </c>
      <c r="T12" s="5">
        <f>4200*($C$9-$C$10)*T$8*$J12/1000000</f>
        <v>5.4893159149499988</v>
      </c>
      <c r="U12" s="5">
        <f>4200*($C$9-$C$10)*U$8*$J12/1000000</f>
        <v>8.2339738724249987</v>
      </c>
      <c r="V12" s="5">
        <f>4200*($C$9-$C$10)*V$8*$J12/1000000</f>
        <v>10.978631829899998</v>
      </c>
      <c r="W12" s="5">
        <f>4200*($C$9-$C$10)*W$8*$J12/1000000</f>
        <v>16.467947744849997</v>
      </c>
      <c r="X12" s="5">
        <f>4200*($C$9-$C$10)*X$8*$J12/1000000</f>
        <v>21.957263659799995</v>
      </c>
      <c r="Y12" s="5">
        <f>4200*($C$9-$C$10)*Y$8*$J12/1000000</f>
        <v>27.446579574749997</v>
      </c>
      <c r="Z12" s="5">
        <f>4200*($C$9-$C$10)*Z$8*$J12/1000000</f>
        <v>32.935895489699995</v>
      </c>
      <c r="AA12" s="5">
        <f>4200*($C$9-$C$10)*AA$8*$J12/1000000</f>
        <v>43.914527319599991</v>
      </c>
      <c r="AB12" s="5">
        <f>4200*($C$9-$C$10)*AB$8*$J12/1000000</f>
        <v>65.871790979399989</v>
      </c>
      <c r="AC12" s="5">
        <f>4200*($C$9-$C$10)*AC$8*$J12/1000000</f>
        <v>87.829054639199981</v>
      </c>
    </row>
    <row r="13" spans="2:32" x14ac:dyDescent="0.25">
      <c r="F13" s="18">
        <f>IF(L13&gt;0.75,1,0) * IF(M13&lt;1,1,0) * IF(Q13&lt;$C$18,1,0)</f>
        <v>1</v>
      </c>
      <c r="G13" s="1">
        <v>12</v>
      </c>
      <c r="H13" s="1">
        <v>0.7</v>
      </c>
      <c r="I13" s="1">
        <f>G13-(2*H13)</f>
        <v>10.6</v>
      </c>
      <c r="J13" s="6">
        <f>(I13/2)*(I13/2)*3.14159</f>
        <v>88.247263099999998</v>
      </c>
      <c r="L13" s="12">
        <f>1000*$C$20/$J13</f>
        <v>2.9978296805701681</v>
      </c>
      <c r="M13" s="12">
        <f>1000*$C$21/$J13</f>
        <v>0.4496744520855252</v>
      </c>
      <c r="N13"/>
      <c r="O13" s="13">
        <f>L13*L13*$C$16*1440</f>
        <v>135.8831798408564</v>
      </c>
      <c r="P13" s="13">
        <f t="shared" ref="P13:P19" si="2">M13*M13*1440</f>
        <v>291.17824251612092</v>
      </c>
      <c r="Q13" s="15">
        <f t="shared" ref="Q13:Q19" si="3">O13+P13</f>
        <v>427.06142235697735</v>
      </c>
      <c r="T13" s="5">
        <f>4200*($C$9-$C$10)*T$8*$J13/1000000</f>
        <v>8.3393663629500008</v>
      </c>
      <c r="U13" s="5">
        <f>4200*($C$9-$C$10)*U$8*$J13/1000000</f>
        <v>12.509049544425</v>
      </c>
      <c r="V13" s="5">
        <f>4200*($C$9-$C$10)*V$8*$J13/1000000</f>
        <v>16.678732725900002</v>
      </c>
      <c r="W13" s="5">
        <f>4200*($C$9-$C$10)*W$8*$J13/1000000</f>
        <v>25.018099088850001</v>
      </c>
      <c r="X13" s="5">
        <f>4200*($C$9-$C$10)*X$8*$J13/1000000</f>
        <v>33.357465451800003</v>
      </c>
      <c r="Y13" s="5">
        <f>4200*($C$9-$C$10)*Y$8*$J13/1000000</f>
        <v>41.696831814749999</v>
      </c>
      <c r="Z13" s="5">
        <f>4200*($C$9-$C$10)*Z$8*$J13/1000000</f>
        <v>50.036198177700001</v>
      </c>
      <c r="AA13" s="5">
        <f>4200*($C$9-$C$10)*AA$8*$J13/1000000</f>
        <v>66.714930903600006</v>
      </c>
      <c r="AB13" s="5">
        <f>4200*($C$9-$C$10)*AB$8*$J13/1000000</f>
        <v>100.0723963554</v>
      </c>
      <c r="AC13" s="5">
        <f>4200*($C$9-$C$10)*AC$8*$J13/1000000</f>
        <v>133.42986180720001</v>
      </c>
    </row>
    <row r="14" spans="2:32" x14ac:dyDescent="0.25">
      <c r="B14" t="s">
        <v>8</v>
      </c>
      <c r="C14" s="8">
        <f>C7*45/30</f>
        <v>360</v>
      </c>
      <c r="D14" t="s">
        <v>7</v>
      </c>
      <c r="F14" s="18">
        <f>IF(L14&gt;0.75,1,0) * IF(M14&lt;1,1,0) * IF(Q14&lt;$C$18,1,0)</f>
        <v>1</v>
      </c>
      <c r="G14" s="1">
        <v>15</v>
      </c>
      <c r="H14" s="1">
        <v>0.7</v>
      </c>
      <c r="I14" s="1">
        <f>G14-(2*H14)</f>
        <v>13.6</v>
      </c>
      <c r="J14" s="6">
        <f>(I14/2)*(I14/2)*3.14159</f>
        <v>145.26712159999997</v>
      </c>
      <c r="L14" s="12">
        <f>1000*$C$20/$J14</f>
        <v>1.8211296653809697</v>
      </c>
      <c r="M14" s="12">
        <f>1000*$C$21/$J14</f>
        <v>0.27316944980714541</v>
      </c>
      <c r="N14"/>
      <c r="O14" s="13">
        <f>L14*L14*$C$16*1440</f>
        <v>50.145680462934713</v>
      </c>
      <c r="P14" s="13">
        <f t="shared" si="2"/>
        <v>107.45502956343148</v>
      </c>
      <c r="Q14" s="15">
        <f t="shared" si="3"/>
        <v>157.60071002636619</v>
      </c>
      <c r="T14" s="5">
        <f>4200*($C$9-$C$10)*T$8*$J14/1000000</f>
        <v>13.727742991199996</v>
      </c>
      <c r="U14" s="5">
        <f>4200*($C$9-$C$10)*U$8*$J14/1000000</f>
        <v>20.591614486799998</v>
      </c>
      <c r="V14" s="5">
        <f>4200*($C$9-$C$10)*V$8*$J14/1000000</f>
        <v>27.455485982399992</v>
      </c>
      <c r="W14" s="5">
        <f>4200*($C$9-$C$10)*W$8*$J14/1000000</f>
        <v>41.183228973599995</v>
      </c>
      <c r="X14" s="5">
        <f>4200*($C$9-$C$10)*X$8*$J14/1000000</f>
        <v>54.910971964799984</v>
      </c>
      <c r="Y14" s="5">
        <f>4200*($C$9-$C$10)*Y$8*$J14/1000000</f>
        <v>68.638714955999987</v>
      </c>
      <c r="Z14" s="5">
        <f>4200*($C$9-$C$10)*Z$8*$J14/1000000</f>
        <v>82.36645794719999</v>
      </c>
      <c r="AA14" s="5">
        <f>4200*($C$9-$C$10)*AA$8*$J14/1000000</f>
        <v>109.82194392959997</v>
      </c>
      <c r="AB14" s="5">
        <f>4200*($C$9-$C$10)*AB$8*$J14/1000000</f>
        <v>164.73291589439998</v>
      </c>
      <c r="AC14" s="5">
        <f>4200*($C$9-$C$10)*AC$8*$J14/1000000</f>
        <v>219.64388785919994</v>
      </c>
    </row>
    <row r="15" spans="2:32" x14ac:dyDescent="0.25">
      <c r="B15" t="s">
        <v>4</v>
      </c>
      <c r="C15" s="9">
        <f>C7*4200*45/(C6*1000*60)</f>
        <v>15.12</v>
      </c>
      <c r="D15" t="s">
        <v>9</v>
      </c>
      <c r="F15" s="18">
        <f>IF(L15&gt;0.75,1,0) * IF(M15&lt;1,1,0) * IF(Q15&lt;$C$18,1,0)</f>
        <v>1</v>
      </c>
      <c r="G15" s="1">
        <v>22</v>
      </c>
      <c r="H15" s="1">
        <v>0.7</v>
      </c>
      <c r="I15" s="1">
        <f>G15-(2*H15)</f>
        <v>20.6</v>
      </c>
      <c r="J15" s="6">
        <f>(I15/2)*(I15/2)*3.14159</f>
        <v>333.29128310000004</v>
      </c>
      <c r="L15" s="12">
        <f>1000*$C$20/$J15</f>
        <v>0.79375092588571972</v>
      </c>
      <c r="M15" s="12">
        <f>1000*$C$21/$J15</f>
        <v>0.11906263888285795</v>
      </c>
      <c r="N15"/>
      <c r="O15" s="13">
        <f>L15*L15*$C$16*1440</f>
        <v>9.5262128490478926</v>
      </c>
      <c r="P15" s="13">
        <f t="shared" si="2"/>
        <v>20.413313247959767</v>
      </c>
      <c r="Q15" s="15">
        <f t="shared" si="3"/>
        <v>29.939526097007658</v>
      </c>
      <c r="T15" s="5">
        <f>4200*($C$9-$C$10)*T$8*$J15/1000000</f>
        <v>31.496026252950006</v>
      </c>
      <c r="U15" s="5">
        <f>4200*($C$9-$C$10)*U$8*$J15/1000000</f>
        <v>47.244039379425004</v>
      </c>
      <c r="V15" s="5">
        <f>4200*($C$9-$C$10)*V$8*$J15/1000000</f>
        <v>62.992052505900013</v>
      </c>
      <c r="W15" s="5">
        <f>4200*($C$9-$C$10)*W$8*$J15/1000000</f>
        <v>94.488078758850008</v>
      </c>
      <c r="X15" s="5">
        <f>4200*($C$9-$C$10)*X$8*$J15/1000000</f>
        <v>125.98410501180003</v>
      </c>
      <c r="Y15" s="5">
        <f>4200*($C$9-$C$10)*Y$8*$J15/1000000</f>
        <v>157.48013126475004</v>
      </c>
      <c r="Z15" s="5">
        <f>4200*($C$9-$C$10)*Z$8*$J15/1000000</f>
        <v>188.97615751770002</v>
      </c>
      <c r="AA15" s="5">
        <f>4200*($C$9-$C$10)*AA$8*$J15/1000000</f>
        <v>251.96821002360005</v>
      </c>
      <c r="AB15" s="5">
        <f>4200*($C$9-$C$10)*AB$8*$J15/1000000</f>
        <v>377.95231503540003</v>
      </c>
      <c r="AC15" s="5">
        <f>4200*($C$9-$C$10)*AC$8*$J15/1000000</f>
        <v>503.9364200472001</v>
      </c>
    </row>
    <row r="16" spans="2:32" x14ac:dyDescent="0.25">
      <c r="B16" t="s">
        <v>10</v>
      </c>
      <c r="C16" s="10">
        <f>C15/(60*24)</f>
        <v>1.0499999999999999E-2</v>
      </c>
      <c r="F16" s="17">
        <f>IF(L16&gt;0.75,1,0) * IF(M16&lt;1,1,0) * IF(Q16&lt;$C$18,1,0)</f>
        <v>0</v>
      </c>
      <c r="G16" s="1">
        <v>28</v>
      </c>
      <c r="H16" s="1">
        <v>1.7</v>
      </c>
      <c r="I16" s="1">
        <f>G16-(2*H16)</f>
        <v>24.6</v>
      </c>
      <c r="J16" s="6">
        <f>(I16/2)*(I16/2)*3.14159</f>
        <v>475.29115110000004</v>
      </c>
      <c r="L16" s="12">
        <f>1000*$C$20/$J16</f>
        <v>0.55660675343523036</v>
      </c>
      <c r="M16" s="12">
        <f>1000*$C$21/$J16</f>
        <v>8.3491013015284554E-2</v>
      </c>
      <c r="N16"/>
      <c r="O16" s="13">
        <f>L16*L16*$C$16*1440</f>
        <v>4.6843434989019741</v>
      </c>
      <c r="P16" s="13">
        <f t="shared" si="2"/>
        <v>10.037878926218516</v>
      </c>
      <c r="Q16" s="15">
        <f t="shared" si="3"/>
        <v>14.72222242512049</v>
      </c>
      <c r="T16" s="5">
        <f>4200*($C$9-$C$10)*T$8*$J16/1000000</f>
        <v>44.915013778950005</v>
      </c>
      <c r="U16" s="5">
        <f>4200*($C$9-$C$10)*U$8*$J16/1000000</f>
        <v>67.372520668425011</v>
      </c>
      <c r="V16" s="5">
        <f>4200*($C$9-$C$10)*V$8*$J16/1000000</f>
        <v>89.83002755790001</v>
      </c>
      <c r="W16" s="5">
        <f>4200*($C$9-$C$10)*W$8*$J16/1000000</f>
        <v>134.74504133685002</v>
      </c>
      <c r="X16" s="5">
        <f>4200*($C$9-$C$10)*X$8*$J16/1000000</f>
        <v>179.66005511580002</v>
      </c>
      <c r="Y16" s="5">
        <f>4200*($C$9-$C$10)*Y$8*$J16/1000000</f>
        <v>224.57506889475002</v>
      </c>
      <c r="Z16" s="5">
        <f>4200*($C$9-$C$10)*Z$8*$J16/1000000</f>
        <v>269.49008267370004</v>
      </c>
      <c r="AA16" s="5">
        <f>4200*($C$9-$C$10)*AA$8*$J16/1000000</f>
        <v>359.32011023160004</v>
      </c>
      <c r="AB16" s="5">
        <f>4200*($C$9-$C$10)*AB$8*$J16/1000000</f>
        <v>538.98016534740009</v>
      </c>
      <c r="AC16" s="5">
        <f>4200*($C$9-$C$10)*AC$8*$J16/1000000</f>
        <v>718.64022046320008</v>
      </c>
    </row>
    <row r="17" spans="2:29" x14ac:dyDescent="0.25">
      <c r="F17" s="17">
        <f>IF(L17&gt;0.75,1,0) * IF(M17&lt;1,1,0) * IF(Q17&lt;$C$18,1,0)</f>
        <v>0</v>
      </c>
      <c r="G17" s="1">
        <v>35</v>
      </c>
      <c r="H17" s="1">
        <v>1.7</v>
      </c>
      <c r="I17" s="1">
        <f>G17-(2*H17)</f>
        <v>31.6</v>
      </c>
      <c r="J17" s="6">
        <f t="shared" ref="J17:J19" si="4">(I17/2)*(I17/2)*3.14159</f>
        <v>784.26652760000002</v>
      </c>
      <c r="L17" s="12">
        <f>1000*$C$20/$J17</f>
        <v>0.33732188642531652</v>
      </c>
      <c r="M17" s="12">
        <f>1000*$C$21/$J17</f>
        <v>5.0598282963797474E-2</v>
      </c>
      <c r="N17"/>
      <c r="O17" s="13">
        <f>L17*L17*$C$16*1440</f>
        <v>1.7204451525303959</v>
      </c>
      <c r="P17" s="13">
        <f t="shared" si="2"/>
        <v>3.6866681839937052</v>
      </c>
      <c r="Q17" s="15">
        <f t="shared" si="3"/>
        <v>5.4071133365241009</v>
      </c>
      <c r="T17" s="5">
        <f>4200*($C$9-$C$10)*T$8*$J17/1000000</f>
        <v>74.113186858199995</v>
      </c>
      <c r="U17" s="5">
        <f>4200*($C$9-$C$10)*U$8*$J17/1000000</f>
        <v>111.1697802873</v>
      </c>
      <c r="V17" s="5">
        <f>4200*($C$9-$C$10)*V$8*$J17/1000000</f>
        <v>148.22637371639999</v>
      </c>
      <c r="W17" s="5">
        <f>4200*($C$9-$C$10)*W$8*$J17/1000000</f>
        <v>222.3395605746</v>
      </c>
      <c r="X17" s="5">
        <f>4200*($C$9-$C$10)*X$8*$J17/1000000</f>
        <v>296.45274743279998</v>
      </c>
      <c r="Y17" s="5">
        <f>4200*($C$9-$C$10)*Y$8*$J17/1000000</f>
        <v>370.56593429100002</v>
      </c>
      <c r="Z17" s="5">
        <f>4200*($C$9-$C$10)*Z$8*$J17/1000000</f>
        <v>444.6791211492</v>
      </c>
      <c r="AA17" s="5">
        <f>4200*($C$9-$C$10)*AA$8*$J17/1000000</f>
        <v>592.90549486559996</v>
      </c>
      <c r="AB17" s="5">
        <f>4200*($C$9-$C$10)*AB$8*$J17/1000000</f>
        <v>889.3582422984</v>
      </c>
      <c r="AC17" s="5">
        <f>4200*($C$9-$C$10)*AC$8*$J17/1000000</f>
        <v>1185.8109897311999</v>
      </c>
    </row>
    <row r="18" spans="2:29" x14ac:dyDescent="0.25">
      <c r="B18" t="s">
        <v>31</v>
      </c>
      <c r="C18" s="16">
        <f>C12*C12*1440</f>
        <v>1440</v>
      </c>
      <c r="F18" s="17">
        <f>IF(L18&gt;0.75,1,0) * IF(M18&lt;1,1,0) * IF(Q18&lt;$C$18,1,0)</f>
        <v>0</v>
      </c>
      <c r="G18" s="1">
        <v>42</v>
      </c>
      <c r="H18" s="1">
        <v>1.7</v>
      </c>
      <c r="I18" s="1">
        <f>G18-(2*H18)</f>
        <v>38.6</v>
      </c>
      <c r="J18" s="6">
        <f t="shared" si="4"/>
        <v>1170.2108590999999</v>
      </c>
      <c r="L18" s="12">
        <f>1000*$C$20/$J18</f>
        <v>0.22607059445143768</v>
      </c>
      <c r="M18" s="12">
        <f>1000*$C$21/$J18</f>
        <v>3.3910589167715652E-2</v>
      </c>
      <c r="N18"/>
      <c r="O18" s="13">
        <f>L18*L18*$C$16*1440</f>
        <v>0.77275165477547125</v>
      </c>
      <c r="P18" s="13">
        <f t="shared" si="2"/>
        <v>1.6558964030902954</v>
      </c>
      <c r="Q18" s="15">
        <f t="shared" si="3"/>
        <v>2.4286480578657668</v>
      </c>
      <c r="T18" s="5">
        <f>4200*($C$9-$C$10)*T$8*$J18/1000000</f>
        <v>110.58492618494999</v>
      </c>
      <c r="U18" s="5">
        <f>4200*($C$9-$C$10)*U$8*$J18/1000000</f>
        <v>165.87738927742498</v>
      </c>
      <c r="V18" s="5">
        <f>4200*($C$9-$C$10)*V$8*$J18/1000000</f>
        <v>221.16985236989998</v>
      </c>
      <c r="W18" s="5">
        <f>4200*($C$9-$C$10)*W$8*$J18/1000000</f>
        <v>331.75477855484996</v>
      </c>
      <c r="X18" s="5">
        <f>4200*($C$9-$C$10)*X$8*$J18/1000000</f>
        <v>442.33970473979997</v>
      </c>
      <c r="Y18" s="5">
        <f>4200*($C$9-$C$10)*Y$8*$J18/1000000</f>
        <v>552.92463092474998</v>
      </c>
      <c r="Z18" s="5">
        <f>4200*($C$9-$C$10)*Z$8*$J18/1000000</f>
        <v>663.50955710969993</v>
      </c>
      <c r="AA18" s="5">
        <f>4200*($C$9-$C$10)*AA$8*$J18/1000000</f>
        <v>884.67940947959994</v>
      </c>
      <c r="AB18" s="5">
        <f>4200*($C$9-$C$10)*AB$8*$J18/1000000</f>
        <v>1327.0191142193999</v>
      </c>
      <c r="AC18" s="5">
        <f>4200*($C$9-$C$10)*AC$8*$J18/1000000</f>
        <v>1769.3588189591999</v>
      </c>
    </row>
    <row r="19" spans="2:29" x14ac:dyDescent="0.25">
      <c r="F19" s="17">
        <f>IF(L19&gt;0.75,1,0) * IF(M19&lt;1,1,0) * IF(Q19&lt;$C$18,1,0)</f>
        <v>0</v>
      </c>
      <c r="G19" s="1">
        <v>54</v>
      </c>
      <c r="H19" s="1">
        <v>1.7</v>
      </c>
      <c r="I19" s="1">
        <f>G19-(2*H19)</f>
        <v>50.6</v>
      </c>
      <c r="J19" s="6">
        <f t="shared" si="4"/>
        <v>2010.9003431000001</v>
      </c>
      <c r="L19" s="12">
        <f>1000*$C$20/$J19</f>
        <v>0.13155811796343642</v>
      </c>
      <c r="M19" s="12">
        <f>1000*$C$21/$J19</f>
        <v>1.973371769451546E-2</v>
      </c>
      <c r="N19"/>
      <c r="O19" s="13">
        <f>L19*L19*$C$16*1440</f>
        <v>0.26168998063947152</v>
      </c>
      <c r="P19" s="13">
        <f t="shared" si="2"/>
        <v>0.56076424422743898</v>
      </c>
      <c r="Q19" s="15">
        <f t="shared" si="3"/>
        <v>0.82245422486691044</v>
      </c>
      <c r="T19" s="5">
        <f>4200*($C$9-$C$10)*T$8*$J19/1000000</f>
        <v>190.03008242294999</v>
      </c>
      <c r="U19" s="5">
        <f>4200*($C$9-$C$10)*U$8*$J19/1000000</f>
        <v>285.04512363442501</v>
      </c>
      <c r="V19" s="5">
        <f>4200*($C$9-$C$10)*V$8*$J19/1000000</f>
        <v>380.06016484589998</v>
      </c>
      <c r="W19" s="5">
        <f>4200*($C$9-$C$10)*W$8*$J19/1000000</f>
        <v>570.09024726885002</v>
      </c>
      <c r="X19" s="5">
        <f>4200*($C$9-$C$10)*X$8*$J19/1000000</f>
        <v>760.12032969179995</v>
      </c>
      <c r="Y19" s="5">
        <f>4200*($C$9-$C$10)*Y$8*$J19/1000000</f>
        <v>950.15041211475</v>
      </c>
      <c r="Z19" s="5">
        <f>4200*($C$9-$C$10)*Z$8*$J19/1000000</f>
        <v>1140.1804945377</v>
      </c>
      <c r="AA19" s="5">
        <f>4200*($C$9-$C$10)*AA$8*$J19/1000000</f>
        <v>1520.2406593835999</v>
      </c>
      <c r="AB19" s="5">
        <f>4200*($C$9-$C$10)*AB$8*$J19/1000000</f>
        <v>2280.3609890754001</v>
      </c>
      <c r="AC19" s="5">
        <f>4200*($C$9-$C$10)*AC$8*$J19/1000000</f>
        <v>3040.4813187671998</v>
      </c>
    </row>
    <row r="20" spans="2:29" x14ac:dyDescent="0.25">
      <c r="B20" t="s">
        <v>11</v>
      </c>
      <c r="C20" s="7">
        <f>C6*1000/(4200*(C9-C10))</f>
        <v>0.26455026455026454</v>
      </c>
      <c r="D20" t="s">
        <v>18</v>
      </c>
      <c r="F20" s="19" t="e">
        <f>IF(S20&gt;0.75,1,0) * IF(#REF!&lt;1,1,0) * IF(#REF!&lt;$C$18,1,0)</f>
        <v>#REF!</v>
      </c>
    </row>
    <row r="21" spans="2:29" x14ac:dyDescent="0.25">
      <c r="B21" t="s">
        <v>19</v>
      </c>
      <c r="C21" s="7">
        <f>C8*1000/(4200*(C9-C11))</f>
        <v>3.968253968253968E-2</v>
      </c>
      <c r="D21" t="s">
        <v>18</v>
      </c>
    </row>
  </sheetData>
  <mergeCells count="3">
    <mergeCell ref="L7:M7"/>
    <mergeCell ref="O7:Q7"/>
    <mergeCell ref="T7:AC7"/>
  </mergeCells>
  <conditionalFormatting sqref="L10:L12">
    <cfRule type="cellIs" dxfId="5" priority="6" operator="lessThan">
      <formula>0.75</formula>
    </cfRule>
  </conditionalFormatting>
  <conditionalFormatting sqref="L13:L19">
    <cfRule type="cellIs" dxfId="4" priority="5" operator="lessThan">
      <formula>0.75</formula>
    </cfRule>
  </conditionalFormatting>
  <conditionalFormatting sqref="Q10">
    <cfRule type="cellIs" dxfId="3" priority="4" operator="greaterThan">
      <formula>1440</formula>
    </cfRule>
  </conditionalFormatting>
  <conditionalFormatting sqref="Q11:Q19">
    <cfRule type="cellIs" dxfId="2" priority="3" operator="greaterThan">
      <formula>1440</formula>
    </cfRule>
  </conditionalFormatting>
  <conditionalFormatting sqref="M10:M19">
    <cfRule type="cellIs" dxfId="1" priority="2" operator="greaterThan">
      <formula>1</formula>
    </cfRule>
  </conditionalFormatting>
  <conditionalFormatting sqref="F10:F20">
    <cfRule type="cellIs" dxfId="0" priority="1" operator="greaterThan">
      <formula>0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4" sqref="C4:L16"/>
    </sheetView>
  </sheetViews>
  <sheetFormatPr defaultRowHeight="13.2" x14ac:dyDescent="0.25"/>
  <cols>
    <col min="2" max="2" width="8.88671875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rhg</dc:creator>
  <cp:lastModifiedBy>rhg</cp:lastModifiedBy>
  <dcterms:created xsi:type="dcterms:W3CDTF">2017-04-06T21:10:34Z</dcterms:created>
  <dcterms:modified xsi:type="dcterms:W3CDTF">2017-04-06T22:36:33Z</dcterms:modified>
</cp:coreProperties>
</file>